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ccb-my.sharepoint.com/personal/charrison_usccb_org/Documents/1. Affiliates/1. Blank Case File Forms/"/>
    </mc:Choice>
  </mc:AlternateContent>
  <xr:revisionPtr revIDLastSave="25" documentId="8_{730B78DE-90B2-46FD-B8AE-E61DCEDAEDC6}" xr6:coauthVersionLast="47" xr6:coauthVersionMax="47" xr10:uidLastSave="{350450F0-FD44-4B41-8F72-4B4DFF221F0E}"/>
  <bookViews>
    <workbookView xWindow="-120" yWindow="-120" windowWidth="29040" windowHeight="15840" xr2:uid="{45DF6EB5-A5B8-4DCF-A2B6-6FBAE9EAAE27}"/>
  </bookViews>
  <sheets>
    <sheet name="MG Eligibility &amp; Enrollment" sheetId="4" r:id="rId1"/>
    <sheet name="Data Validation" sheetId="2" state="hidden" r:id="rId2"/>
    <sheet name="Formulas" sheetId="3" state="hidden" r:id="rId3"/>
  </sheets>
  <definedNames>
    <definedName name="_xlnm.Print_Area" localSheetId="0">'MG Eligibility &amp; Enrollment'!$A$1:$B$36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4" l="1"/>
  <c r="B27" i="4"/>
  <c r="B24" i="4"/>
  <c r="B25" i="4" s="1"/>
  <c r="B8" i="4"/>
  <c r="A15" i="4" s="1"/>
  <c r="A32" i="4"/>
  <c r="A31" i="4"/>
  <c r="B16" i="4"/>
  <c r="B13" i="4"/>
  <c r="A7" i="4"/>
  <c r="C17" i="3"/>
  <c r="D15" i="3"/>
  <c r="C15" i="3"/>
  <c r="B14" i="3"/>
  <c r="B13" i="3"/>
  <c r="B12" i="3"/>
  <c r="B11" i="3"/>
  <c r="B10" i="3"/>
  <c r="C9" i="3"/>
  <c r="B9" i="3"/>
  <c r="B8" i="3"/>
  <c r="B4" i="3"/>
  <c r="A6" i="3" s="1"/>
  <c r="A3" i="3"/>
  <c r="C4" i="2"/>
  <c r="B28" i="4" l="1"/>
  <c r="B29" i="4"/>
  <c r="B30" i="4"/>
  <c r="A26" i="4"/>
  <c r="B32" i="4" l="1"/>
  <c r="B31" i="4"/>
</calcChain>
</file>

<file path=xl/sharedStrings.xml><?xml version="1.0" encoding="utf-8"?>
<sst xmlns="http://schemas.openxmlformats.org/spreadsheetml/2006/main" count="44" uniqueCount="36">
  <si>
    <t>Case Type</t>
  </si>
  <si>
    <t>Refugee</t>
  </si>
  <si>
    <t>SIV</t>
  </si>
  <si>
    <t>Yes</t>
  </si>
  <si>
    <t>No</t>
  </si>
  <si>
    <t>Asylee</t>
  </si>
  <si>
    <t>Amerasian</t>
  </si>
  <si>
    <t>Victim of Trafficking</t>
  </si>
  <si>
    <t>Cuban/Haitian Entrant</t>
  </si>
  <si>
    <t>Afghan Humanitarian Parolees</t>
  </si>
  <si>
    <t>Date of Eligibility</t>
  </si>
  <si>
    <t>Status</t>
  </si>
  <si>
    <t>Date of Eligibility:</t>
  </si>
  <si>
    <t>Afghan Humanitarian Parolee</t>
  </si>
  <si>
    <t>Safe Haven</t>
  </si>
  <si>
    <t/>
  </si>
  <si>
    <t>Determining the MG Enrollment Window</t>
  </si>
  <si>
    <t>Enrollment window (31 or 90 days)</t>
  </si>
  <si>
    <t>SIV (R&amp;P)</t>
  </si>
  <si>
    <t>SIV (walk-in)</t>
  </si>
  <si>
    <t>Enrollment deadline (case must be enrolled by this date)</t>
  </si>
  <si>
    <t>Day 1</t>
  </si>
  <si>
    <r>
      <t xml:space="preserve">Date of MG Enrollment 
</t>
    </r>
    <r>
      <rPr>
        <i/>
        <sz val="9"/>
        <color theme="1"/>
        <rFont val="Calibri"/>
        <family val="2"/>
        <scheme val="minor"/>
      </rPr>
      <t>(Date the Client Agreement is signed)</t>
    </r>
  </si>
  <si>
    <r>
      <t xml:space="preserve">Is this a regular or late enrollment?
</t>
    </r>
    <r>
      <rPr>
        <i/>
        <sz val="9"/>
        <color theme="1"/>
        <rFont val="Calibri"/>
        <family val="2"/>
        <scheme val="minor"/>
      </rPr>
      <t>Regular: Enrolled within 31 days from eligibility
Late: Enrolled 32 or more days from eligibility</t>
    </r>
  </si>
  <si>
    <r>
      <t xml:space="preserve">Day 1 of the MG program is calculated from
</t>
    </r>
    <r>
      <rPr>
        <i/>
        <sz val="9"/>
        <color theme="1"/>
        <rFont val="Calibri"/>
        <family val="2"/>
        <scheme val="minor"/>
      </rPr>
      <t xml:space="preserve">Regular: Date of Eligibility
Late: Date of Enrollment </t>
    </r>
  </si>
  <si>
    <t>Case was enrolled on day ____ from eligibility</t>
  </si>
  <si>
    <t>FY 2022</t>
  </si>
  <si>
    <t>MG Eligibility, Enrollment, &amp; Service Duration Workbook</t>
  </si>
  <si>
    <r>
      <t xml:space="preserve">*Note if a case has missed its enrollment deadline you must submit an enrollment waiver request to MRSMatchGrant@USCCB.org. Waiver forms can be accessed on the MG page of MRSConnect. </t>
    </r>
    <r>
      <rPr>
        <i/>
        <u/>
        <sz val="9"/>
        <color theme="1"/>
        <rFont val="Calibri"/>
        <family val="2"/>
        <scheme val="minor"/>
      </rPr>
      <t>Do not enroll the case into MG until approval from ORR has been received.</t>
    </r>
  </si>
  <si>
    <r>
      <t xml:space="preserve">Determining a case's date of eligibility for MG
</t>
    </r>
    <r>
      <rPr>
        <sz val="12"/>
        <color theme="1"/>
        <rFont val="Calibri"/>
        <family val="2"/>
        <scheme val="minor"/>
      </rPr>
      <t>Prior to MG Enrollment</t>
    </r>
  </si>
  <si>
    <r>
      <t xml:space="preserve">Determining a case's enrollment window
</t>
    </r>
    <r>
      <rPr>
        <sz val="12"/>
        <color theme="1"/>
        <rFont val="Calibri"/>
        <family val="2"/>
        <scheme val="minor"/>
      </rPr>
      <t>Prior to MG Enrollment</t>
    </r>
  </si>
  <si>
    <r>
      <t xml:space="preserve">Determining a case's MG service period 
</t>
    </r>
    <r>
      <rPr>
        <sz val="12"/>
        <color theme="1"/>
        <rFont val="Calibri"/>
        <family val="2"/>
        <scheme val="minor"/>
      </rPr>
      <t>During MG Enrollment</t>
    </r>
  </si>
  <si>
    <t>Does this case require an ORR waiver prior to enrollment?</t>
  </si>
  <si>
    <t>Date of eligibility:</t>
  </si>
  <si>
    <t xml:space="preserve">Instructions: The user should fill in all cells that are highlighted in yellow. The remaining cells will auto populate based on the data that is entered. Once you have used the worksheet for a specific case, make sure to clear the contents of all yellow cells before entering new case information. </t>
  </si>
  <si>
    <t>*Note: A "late" enrollment as defined by ORR means a case was enrolled into MG 32 or more days from eligibility. Not all late enrollments require an approved waiver from ORR prior to enrollment. Cases require an ORR waiver if they missed the enrollment deadline outlined in cell B16. R&amp;P and APA cases that were not originally resettled by your agency will also need an ORR waiver prior to enrollment regardless of whether they missed their enrollment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</si>
</sst>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9"/>
      <color theme="1"/>
      <name val="Calibri"/>
      <family val="2"/>
      <scheme val="minor"/>
    </font>
    <font>
      <sz val="12"/>
      <color theme="1"/>
      <name val="Calibri"/>
      <family val="2"/>
      <scheme val="minor"/>
    </font>
    <font>
      <b/>
      <sz val="11"/>
      <color rgb="FFC00000"/>
      <name val="Calibri"/>
      <family val="2"/>
      <scheme val="minor"/>
    </font>
    <font>
      <b/>
      <sz val="16"/>
      <color theme="1"/>
      <name val="Calibri"/>
      <family val="2"/>
      <scheme val="minor"/>
    </font>
    <font>
      <i/>
      <u/>
      <sz val="9"/>
      <color theme="1"/>
      <name val="Calibri"/>
      <family val="2"/>
      <scheme val="minor"/>
    </font>
    <font>
      <sz val="10"/>
      <color theme="1"/>
      <name val="Calibri"/>
      <family val="2"/>
      <scheme val="minor"/>
    </font>
    <font>
      <i/>
      <sz val="10"/>
      <color theme="1"/>
      <name val="Calibri"/>
      <family val="2"/>
      <scheme val="minor"/>
    </font>
    <font>
      <sz val="9"/>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44">
    <xf numFmtId="0" fontId="0" fillId="0" borderId="0" xfId="0"/>
    <xf numFmtId="0" fontId="1" fillId="0" borderId="0" xfId="0" applyFont="1"/>
    <xf numFmtId="0" fontId="0" fillId="0" borderId="0" xfId="0" applyFont="1"/>
    <xf numFmtId="0" fontId="0" fillId="3" borderId="0" xfId="0" applyFill="1" applyAlignment="1" applyProtection="1">
      <alignment vertical="center"/>
      <protection locked="0"/>
    </xf>
    <xf numFmtId="0" fontId="0" fillId="0" borderId="0" xfId="0" applyFill="1" applyAlignment="1" applyProtection="1">
      <alignment vertical="center"/>
      <protection locked="0"/>
    </xf>
    <xf numFmtId="0" fontId="0" fillId="0" borderId="0" xfId="0" applyAlignment="1" applyProtection="1">
      <alignment vertical="center"/>
      <protection locked="0"/>
    </xf>
    <xf numFmtId="0" fontId="7" fillId="3" borderId="0" xfId="0" applyFont="1" applyFill="1" applyAlignment="1" applyProtection="1">
      <alignment horizontal="centerContinuous" vertical="center" wrapText="1"/>
      <protection locked="0"/>
    </xf>
    <xf numFmtId="0" fontId="7" fillId="3" borderId="0" xfId="0" applyFont="1" applyFill="1" applyAlignment="1" applyProtection="1">
      <alignment horizontal="centerContinuous" vertical="center"/>
      <protection locked="0"/>
    </xf>
    <xf numFmtId="0" fontId="2" fillId="4" borderId="1" xfId="0" applyFont="1" applyFill="1" applyBorder="1" applyAlignment="1" applyProtection="1">
      <alignment horizontal="centerContinuous" vertical="center" wrapText="1"/>
      <protection locked="0"/>
    </xf>
    <xf numFmtId="0" fontId="0" fillId="4" borderId="2" xfId="0" applyFill="1" applyBorder="1" applyAlignment="1" applyProtection="1">
      <alignment horizontal="centerContinuous" vertical="center"/>
      <protection locked="0"/>
    </xf>
    <xf numFmtId="0" fontId="1" fillId="3" borderId="0" xfId="0" applyFont="1" applyFill="1" applyBorder="1" applyAlignment="1" applyProtection="1">
      <alignment vertical="center"/>
      <protection locked="0"/>
    </xf>
    <xf numFmtId="0" fontId="0" fillId="3" borderId="0" xfId="0" applyFill="1" applyBorder="1" applyAlignment="1" applyProtection="1">
      <alignment vertical="center" wrapText="1"/>
      <protection locked="0"/>
    </xf>
    <xf numFmtId="14" fontId="0" fillId="2" borderId="4" xfId="0" applyNumberFormat="1" applyFill="1" applyBorder="1" applyAlignment="1" applyProtection="1">
      <alignment horizontal="center" vertical="center"/>
      <protection locked="0"/>
    </xf>
    <xf numFmtId="0" fontId="4" fillId="0" borderId="5" xfId="0" applyFont="1" applyBorder="1" applyAlignment="1" applyProtection="1">
      <alignment horizontal="centerContinuous" vertical="center" wrapText="1"/>
      <protection locked="0"/>
    </xf>
    <xf numFmtId="14" fontId="4" fillId="0" borderId="6" xfId="0" applyNumberFormat="1" applyFont="1" applyBorder="1" applyAlignment="1" applyProtection="1">
      <alignment horizontal="centerContinuous" vertical="center" wrapText="1"/>
      <protection locked="0"/>
    </xf>
    <xf numFmtId="0" fontId="1" fillId="3" borderId="0" xfId="0" applyFont="1" applyFill="1" applyAlignment="1" applyProtection="1">
      <alignment vertical="center"/>
      <protection locked="0"/>
    </xf>
    <xf numFmtId="0" fontId="3" fillId="4" borderId="2" xfId="0" applyFont="1" applyFill="1" applyBorder="1" applyAlignment="1" applyProtection="1">
      <alignment horizontal="centerContinuous" vertical="center"/>
      <protection locked="0"/>
    </xf>
    <xf numFmtId="14" fontId="0" fillId="3" borderId="0" xfId="0" applyNumberFormat="1" applyFill="1" applyAlignment="1" applyProtection="1">
      <alignment vertical="center"/>
      <protection locked="0"/>
    </xf>
    <xf numFmtId="0" fontId="1" fillId="0" borderId="3" xfId="0" applyFont="1" applyFill="1" applyBorder="1" applyAlignment="1" applyProtection="1">
      <alignment vertical="center"/>
    </xf>
    <xf numFmtId="0" fontId="0" fillId="0" borderId="4" xfId="0" applyBorder="1" applyAlignment="1" applyProtection="1">
      <alignment horizontal="center" vertical="center"/>
    </xf>
    <xf numFmtId="14" fontId="6" fillId="0" borderId="4" xfId="0" applyNumberFormat="1" applyFont="1" applyBorder="1" applyAlignment="1" applyProtection="1">
      <alignment horizontal="center" vertical="center"/>
    </xf>
    <xf numFmtId="14" fontId="0" fillId="0" borderId="4" xfId="0" applyNumberFormat="1" applyBorder="1" applyAlignment="1" applyProtection="1">
      <alignment horizontal="center" vertical="center"/>
    </xf>
    <xf numFmtId="14" fontId="0" fillId="3" borderId="4" xfId="0" applyNumberFormat="1" applyFill="1" applyBorder="1" applyAlignment="1" applyProtection="1">
      <alignment horizontal="center" vertical="center"/>
    </xf>
    <xf numFmtId="0" fontId="0" fillId="2" borderId="4" xfId="0" applyFill="1" applyBorder="1" applyAlignment="1" applyProtection="1">
      <alignment horizontal="center" vertical="center"/>
      <protection locked="0"/>
    </xf>
    <xf numFmtId="0" fontId="1" fillId="3" borderId="3" xfId="0" applyFont="1" applyFill="1" applyBorder="1" applyAlignment="1" applyProtection="1">
      <alignment vertical="center"/>
    </xf>
    <xf numFmtId="0" fontId="0" fillId="3" borderId="4" xfId="0" applyFill="1" applyBorder="1" applyAlignment="1" applyProtection="1">
      <alignment horizontal="center" vertical="center"/>
    </xf>
    <xf numFmtId="0" fontId="1" fillId="0" borderId="3" xfId="0" applyFont="1" applyFill="1" applyBorder="1" applyAlignment="1" applyProtection="1">
      <alignment vertical="center"/>
      <protection locked="0"/>
    </xf>
    <xf numFmtId="0" fontId="0" fillId="0" borderId="4" xfId="0" applyFill="1" applyBorder="1" applyAlignment="1" applyProtection="1">
      <alignment horizontal="center" vertical="center"/>
      <protection locked="0"/>
    </xf>
    <xf numFmtId="0" fontId="1" fillId="0" borderId="5" xfId="0" applyFont="1" applyFill="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3" xfId="0" applyFont="1" applyBorder="1" applyAlignment="1" applyProtection="1">
      <alignment vertical="center" wrapText="1"/>
      <protection locked="0"/>
    </xf>
    <xf numFmtId="0" fontId="1" fillId="3" borderId="3" xfId="0" applyFont="1" applyFill="1" applyBorder="1" applyAlignment="1" applyProtection="1">
      <alignment vertical="center"/>
      <protection locked="0"/>
    </xf>
    <xf numFmtId="0" fontId="0" fillId="3" borderId="4" xfId="0" applyFill="1" applyBorder="1" applyAlignment="1" applyProtection="1">
      <alignment horizontal="center" vertical="center"/>
      <protection locked="0"/>
    </xf>
    <xf numFmtId="0" fontId="9" fillId="3" borderId="4"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1" fillId="0" borderId="3" xfId="0" applyFont="1" applyBorder="1" applyAlignment="1" applyProtection="1">
      <alignment vertical="center"/>
    </xf>
    <xf numFmtId="0" fontId="10" fillId="3" borderId="0" xfId="0" applyFont="1" applyFill="1" applyAlignment="1" applyProtection="1">
      <alignment horizontal="centerContinuous" vertical="center" wrapText="1"/>
      <protection locked="0"/>
    </xf>
    <xf numFmtId="0" fontId="0" fillId="0" borderId="3" xfId="0" applyFont="1" applyBorder="1" applyAlignment="1" applyProtection="1">
      <alignment vertical="center" wrapText="1"/>
    </xf>
    <xf numFmtId="0" fontId="1" fillId="0" borderId="9" xfId="0" applyFont="1" applyBorder="1" applyAlignment="1" applyProtection="1">
      <alignment vertical="center"/>
    </xf>
    <xf numFmtId="14" fontId="0" fillId="0" borderId="10" xfId="0" applyNumberFormat="1" applyBorder="1" applyAlignment="1" applyProtection="1">
      <alignment horizontal="center" vertical="center"/>
    </xf>
    <xf numFmtId="0" fontId="4" fillId="3" borderId="11" xfId="0" applyFont="1" applyFill="1" applyBorder="1" applyAlignment="1" applyProtection="1">
      <alignment horizontal="centerContinuous" vertical="center" wrapText="1"/>
      <protection locked="0"/>
    </xf>
    <xf numFmtId="0" fontId="11" fillId="3" borderId="12" xfId="0" applyFont="1" applyFill="1" applyBorder="1" applyAlignment="1" applyProtection="1">
      <alignment horizontal="centerContinuous"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cellXfs>
  <cellStyles count="1">
    <cellStyle name="Normal" xfId="0" builtinId="0"/>
  </cellStyles>
  <dxfs count="13">
    <dxf>
      <fill>
        <patternFill>
          <bgColor theme="7" tint="0.79998168889431442"/>
        </patternFill>
      </fill>
    </dxf>
    <dxf>
      <fill>
        <patternFill>
          <bgColor theme="7" tint="0.79998168889431442"/>
        </patternFill>
      </fill>
    </dxf>
    <dxf>
      <fill>
        <patternFill>
          <bgColor theme="7" tint="0.79998168889431442"/>
        </patternFill>
      </fill>
    </dxf>
    <dxf>
      <font>
        <color rgb="FFC00000"/>
      </font>
      <fill>
        <patternFill>
          <bgColor rgb="FFFFC7CE"/>
        </patternFill>
      </fill>
    </dxf>
    <dxf>
      <font>
        <color rgb="FFC00000"/>
      </font>
      <fill>
        <patternFill>
          <fgColor auto="1"/>
          <bgColor rgb="FFFFC7CE"/>
        </patternFill>
      </fill>
    </dxf>
    <dxf>
      <font>
        <color auto="1"/>
      </font>
      <fill>
        <patternFill>
          <fgColor auto="1"/>
          <bgColor theme="0"/>
        </patternFill>
      </fill>
    </dxf>
    <dxf>
      <font>
        <color auto="1"/>
      </font>
      <fill>
        <patternFill>
          <fgColor auto="1"/>
          <bgColor theme="0"/>
        </patternFill>
      </fill>
    </dxf>
    <dxf>
      <fill>
        <patternFill>
          <bgColor theme="7" tint="0.79998168889431442"/>
        </patternFill>
      </fill>
    </dxf>
    <dxf>
      <font>
        <color rgb="FFC00000"/>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5704E-1561-4AB7-BC50-E36060BDBB79}">
  <sheetPr>
    <pageSetUpPr fitToPage="1"/>
  </sheetPr>
  <dimension ref="A1:C52"/>
  <sheetViews>
    <sheetView tabSelected="1" view="pageLayout" topLeftCell="A10" zoomScaleNormal="100" zoomScaleSheetLayoutView="110" workbookViewId="0">
      <selection activeCell="A14" sqref="A14:B14"/>
    </sheetView>
  </sheetViews>
  <sheetFormatPr defaultColWidth="8.7109375" defaultRowHeight="15" x14ac:dyDescent="0.25"/>
  <cols>
    <col min="1" max="1" width="50" style="5" customWidth="1"/>
    <col min="2" max="2" width="55.5703125" style="5" customWidth="1"/>
    <col min="3" max="3" width="8.7109375" style="4" customWidth="1"/>
    <col min="4" max="16384" width="8.7109375" style="5"/>
  </cols>
  <sheetData>
    <row r="1" spans="1:2" x14ac:dyDescent="0.25">
      <c r="A1" s="3"/>
      <c r="B1" s="3"/>
    </row>
    <row r="2" spans="1:2" ht="21" x14ac:dyDescent="0.25">
      <c r="A2" s="6" t="s">
        <v>27</v>
      </c>
      <c r="B2" s="7"/>
    </row>
    <row r="3" spans="1:2" ht="38.25" x14ac:dyDescent="0.25">
      <c r="A3" s="36" t="s">
        <v>34</v>
      </c>
      <c r="B3" s="7"/>
    </row>
    <row r="4" spans="1:2" ht="15.75" thickBot="1" x14ac:dyDescent="0.3">
      <c r="A4" s="3"/>
      <c r="B4" s="3"/>
    </row>
    <row r="5" spans="1:2" ht="34.5" x14ac:dyDescent="0.25">
      <c r="A5" s="8" t="s">
        <v>29</v>
      </c>
      <c r="B5" s="9"/>
    </row>
    <row r="6" spans="1:2" x14ac:dyDescent="0.25">
      <c r="A6" s="26" t="s">
        <v>0</v>
      </c>
      <c r="B6" s="23"/>
    </row>
    <row r="7" spans="1:2" x14ac:dyDescent="0.25">
      <c r="A7" s="18" t="str">
        <f>IF(OR($B$6="SIV (R&amp;P)",$B$6="SIV (walk-in)",$B$6="Afghan Humanitarian Parolee"),"Did this case reside on a safe haven?","")</f>
        <v/>
      </c>
      <c r="B7" s="27"/>
    </row>
    <row r="8" spans="1:2" ht="44.45" customHeight="1" thickBot="1" x14ac:dyDescent="0.3">
      <c r="A8" s="28" t="s">
        <v>10</v>
      </c>
      <c r="B8" s="34" t="str">
        <f>IF(OR($B$6="Refugee",$B$6="Amerasian"),"Date of U.S. Arrival",IF(AND($B$6="SIV (R&amp;P)",$B$7=""),"",IF(AND($B$6="SIV (R&amp;P)",$B$7="No"),"Date of U.S. Arrival",IF(AND($B$6="SIV (R&amp;P)",$B$7="Yes"),"Date of entry into the community",IF(AND($B$6="SIV (walk-in)",$B$7=""),"",IF(AND($B$6="SIV (walk-in)",$B$7="No"),"Date of U.S. Arrival",IF(AND($B$6="SIV (walk-in)",$B$7="Yes"),"Date of entry into the community",IF($B$6="Asylee","Date of Asylum Grant",IF($B$6="Victim of Trafficking","Date of the certification or eligibility letter",IF($B$6="Cuban/Haitian Entrant","Date of grant of parole, date of grant of C/H Entrant status, or date of release from detention",IF(AND($B$6="Afghan Humanitarian Parolee",$B$7=""),"",IF(AND($B$6="Afghan Humanitarian Parolee",$B$7="Yes"),"10/1/2021 or the date case departed the safe haven (whichever is later)",IF(AND($B$6="Afghan Humanitarian Parolee",$B$7="No"),"Date of U.S. Arrival","")))))))))))))</f>
        <v/>
      </c>
    </row>
    <row r="9" spans="1:2" x14ac:dyDescent="0.25">
      <c r="A9" s="10"/>
      <c r="B9" s="11"/>
    </row>
    <row r="10" spans="1:2" x14ac:dyDescent="0.25">
      <c r="A10" s="10"/>
      <c r="B10" s="11"/>
    </row>
    <row r="11" spans="1:2" ht="15.75" thickBot="1" x14ac:dyDescent="0.3">
      <c r="A11" s="3"/>
      <c r="B11" s="3"/>
    </row>
    <row r="12" spans="1:2" ht="34.5" x14ac:dyDescent="0.25">
      <c r="A12" s="8" t="s">
        <v>30</v>
      </c>
      <c r="B12" s="9"/>
    </row>
    <row r="13" spans="1:2" x14ac:dyDescent="0.25">
      <c r="A13" s="29" t="s">
        <v>17</v>
      </c>
      <c r="B13" s="19" t="str">
        <f>IF($B$6="","",IF(OR($B$6="Refugee",$B$6="SIV (R&amp;P)",$B$6="Amerasian"),"31 Days", "90 Days"))</f>
        <v/>
      </c>
    </row>
    <row r="14" spans="1:2" x14ac:dyDescent="0.25">
      <c r="A14" s="42" t="s">
        <v>33</v>
      </c>
      <c r="B14" s="43"/>
    </row>
    <row r="15" spans="1:2" x14ac:dyDescent="0.25">
      <c r="A15" s="37" t="str">
        <f>IF(B8="","Case's Date of Eligibility",B8)</f>
        <v>Case's Date of Eligibility</v>
      </c>
      <c r="B15" s="12"/>
    </row>
    <row r="16" spans="1:2" x14ac:dyDescent="0.25">
      <c r="A16" s="29" t="s">
        <v>20</v>
      </c>
      <c r="B16" s="20" t="str">
        <f>IF($B$15="","",(IF(OR($B$6="Refugee",$B$6="SIV (R&amp;P)",$B$6="Amerasian"),$B$15+30,$B$15+89)))</f>
        <v/>
      </c>
    </row>
    <row r="17" spans="1:2" ht="24.75" thickBot="1" x14ac:dyDescent="0.3">
      <c r="A17" s="13" t="s">
        <v>28</v>
      </c>
      <c r="B17" s="14"/>
    </row>
    <row r="18" spans="1:2" x14ac:dyDescent="0.25">
      <c r="A18" s="15"/>
      <c r="B18" s="3"/>
    </row>
    <row r="19" spans="1:2" x14ac:dyDescent="0.25">
      <c r="A19" s="15"/>
      <c r="B19" s="3"/>
    </row>
    <row r="20" spans="1:2" ht="15.75" thickBot="1" x14ac:dyDescent="0.3">
      <c r="A20" s="15"/>
      <c r="B20" s="3"/>
    </row>
    <row r="21" spans="1:2" ht="34.5" x14ac:dyDescent="0.25">
      <c r="A21" s="8" t="s">
        <v>31</v>
      </c>
      <c r="B21" s="16"/>
    </row>
    <row r="22" spans="1:2" x14ac:dyDescent="0.25">
      <c r="A22" s="29" t="s">
        <v>10</v>
      </c>
      <c r="B22" s="22" t="str">
        <f>IF($B$15="","",$B$15)</f>
        <v/>
      </c>
    </row>
    <row r="23" spans="1:2" ht="27" x14ac:dyDescent="0.25">
      <c r="A23" s="30" t="s">
        <v>22</v>
      </c>
      <c r="B23" s="12"/>
    </row>
    <row r="24" spans="1:2" x14ac:dyDescent="0.25">
      <c r="A24" s="29" t="s">
        <v>25</v>
      </c>
      <c r="B24" s="19" t="str">
        <f>IF(OR($B$23="",$B$15=""),"",($B$23-$B$22)+1)</f>
        <v/>
      </c>
    </row>
    <row r="25" spans="1:2" x14ac:dyDescent="0.25">
      <c r="A25" s="31" t="s">
        <v>32</v>
      </c>
      <c r="B25" s="25" t="str">
        <f>IF(OR($B$24="",$B$6=""),"",IF(AND($B$6="Refugee",$B$24&gt;31),"Yes",IF(AND($B$6="Amerasian",$B$24&gt;31),"Yes",IF(AND($B$6="SIV (R&amp;P)",$B$24&gt;31),"Yes",IF(AND($B$6="SIV (walk-in)",$B$24&gt;90),"Yes",IF(AND($B$6="Afghan Humanitarian Parolee",$B$24&gt;90),"Yes",IF(AND($B$6="Asylee",$B$24&gt;90),"Yes",IF(AND($B$6="Cuban/Haitian Entrant",$B$24&gt;90),"Yes",IF(AND($B$6="Victim of Trafficking",$B$24&gt;90),"Yes","No")))))))))</f>
        <v/>
      </c>
    </row>
    <row r="26" spans="1:2" x14ac:dyDescent="0.25">
      <c r="A26" s="24" t="str">
        <f>IF($B$23="","",IF($B$25="No","","Was a waiver received prior to enrollment?"))</f>
        <v/>
      </c>
      <c r="B26" s="32"/>
    </row>
    <row r="27" spans="1:2" ht="27" customHeight="1" x14ac:dyDescent="0.25">
      <c r="A27" s="31"/>
      <c r="B27" s="33" t="str">
        <f>IF(OR($B$23="",$B$26=""),"",IF($B$26="No","Reach out to MRSMatchGrant@USCCB.org to submit a waiver request.","Great! Keep a copy of the approved waiver in the MG case file"))</f>
        <v/>
      </c>
    </row>
    <row r="28" spans="1:2" ht="39" x14ac:dyDescent="0.25">
      <c r="A28" s="30" t="s">
        <v>23</v>
      </c>
      <c r="B28" s="19" t="str">
        <f>IF(OR($B$23="",$B$15=""),"",IF($B$24&lt;32,"Regular","Late"))</f>
        <v/>
      </c>
    </row>
    <row r="29" spans="1:2" ht="39" x14ac:dyDescent="0.25">
      <c r="A29" s="30" t="s">
        <v>24</v>
      </c>
      <c r="B29" s="19" t="str">
        <f>IF(OR($B$23="",$B$15=""),"",IF($B$24&lt;32,"Date of Eligibility","Date of Enrollment"))</f>
        <v/>
      </c>
    </row>
    <row r="30" spans="1:2" x14ac:dyDescent="0.25">
      <c r="A30" s="29" t="s">
        <v>21</v>
      </c>
      <c r="B30" s="21" t="str">
        <f>IF(OR($B$23="",$B$15=""),"",IF($B$24&lt;32,$B$22,$B$23))</f>
        <v/>
      </c>
    </row>
    <row r="31" spans="1:2" x14ac:dyDescent="0.25">
      <c r="A31" s="35" t="str">
        <f>IF(OR($B$23&gt;=$B$35,$B$23=""),"Day 180", "Day 120 - FY 2021 Case")</f>
        <v>Day 180</v>
      </c>
      <c r="B31" s="21" t="str">
        <f>IF(OR($B$23="",$B$15=""),"",IF($B$23&gt;=$B$35,$B$30+179,$B$30+119))</f>
        <v/>
      </c>
    </row>
    <row r="32" spans="1:2" x14ac:dyDescent="0.25">
      <c r="A32" s="38" t="str">
        <f>IF(OR($B$23="",$B$23&gt;=$B$35),"Day 240 (Case Closure)", "Day 180 (Case Closure) - FY 2021 Case")</f>
        <v>Day 240 (Case Closure)</v>
      </c>
      <c r="B32" s="39" t="str">
        <f>IF(OR($B$23="",$B$15=""),"",IF($B$23&gt;=$B$35,$B$30+239,$B$30+179))</f>
        <v/>
      </c>
    </row>
    <row r="33" spans="1:2" ht="48.75" thickBot="1" x14ac:dyDescent="0.3">
      <c r="A33" s="40" t="s">
        <v>35</v>
      </c>
      <c r="B33" s="41"/>
    </row>
    <row r="34" spans="1:2" x14ac:dyDescent="0.25">
      <c r="A34" s="3"/>
      <c r="B34" s="3"/>
    </row>
    <row r="35" spans="1:2" ht="11.45" hidden="1" customHeight="1" x14ac:dyDescent="0.25">
      <c r="A35" s="3" t="s">
        <v>26</v>
      </c>
      <c r="B35" s="17">
        <v>44470</v>
      </c>
    </row>
    <row r="36" spans="1:2" x14ac:dyDescent="0.25">
      <c r="A36" s="3"/>
      <c r="B36" s="3"/>
    </row>
    <row r="37" spans="1:2" x14ac:dyDescent="0.25">
      <c r="A37" s="3"/>
      <c r="B37" s="3"/>
    </row>
    <row r="38" spans="1:2" s="4" customFormat="1" x14ac:dyDescent="0.25"/>
    <row r="39" spans="1:2" s="4" customFormat="1" x14ac:dyDescent="0.25"/>
    <row r="40" spans="1:2" s="4" customFormat="1" x14ac:dyDescent="0.25"/>
    <row r="41" spans="1:2" s="4" customFormat="1" x14ac:dyDescent="0.25"/>
    <row r="42" spans="1:2" s="4" customFormat="1" x14ac:dyDescent="0.25"/>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sheetData>
  <sheetProtection algorithmName="SHA-512" hashValue="aw2vzJeS04RMeEzQ+RS0cmD1IEplNIIWD1RY7oxn4lJuVYaGLIYY25MBrZblR2CLG0u6HDTRcEx4IWny8sCi4A==" saltValue="ap0Ko8P+M6p86YjIJwfyQQ==" spinCount="100000" sheet="1" objects="1" scenarios="1" formatCells="0" formatColumns="0" formatRows="0"/>
  <mergeCells count="1">
    <mergeCell ref="A14:B14"/>
  </mergeCells>
  <conditionalFormatting sqref="B7">
    <cfRule type="expression" dxfId="12" priority="7">
      <formula>$B$6="SIV (R&amp;P)"</formula>
    </cfRule>
    <cfRule type="expression" dxfId="11" priority="9">
      <formula>$B$6="SIV (walk-in)"</formula>
    </cfRule>
    <cfRule type="expression" dxfId="10" priority="10">
      <formula>$B$6="Afghan Humanitarian Parolee"</formula>
    </cfRule>
  </conditionalFormatting>
  <conditionalFormatting sqref="B15">
    <cfRule type="expression" dxfId="9" priority="8">
      <formula>NOT(ISBLANK($B$6))</formula>
    </cfRule>
  </conditionalFormatting>
  <conditionalFormatting sqref="B26">
    <cfRule type="expression" dxfId="8" priority="3">
      <formula>$B$26="No"</formula>
    </cfRule>
    <cfRule type="expression" dxfId="7" priority="6">
      <formula>$B$25="Yes"</formula>
    </cfRule>
  </conditionalFormatting>
  <conditionalFormatting sqref="B25">
    <cfRule type="expression" dxfId="6" priority="1">
      <formula>$B$26=""</formula>
    </cfRule>
    <cfRule type="expression" dxfId="5" priority="4">
      <formula>$B$26="Yes"</formula>
    </cfRule>
    <cfRule type="expression" dxfId="4" priority="5">
      <formula>$B$24&gt;31</formula>
    </cfRule>
  </conditionalFormatting>
  <conditionalFormatting sqref="B27">
    <cfRule type="expression" dxfId="3" priority="2">
      <formula>$B$26="No"</formula>
    </cfRule>
  </conditionalFormatting>
  <pageMargins left="0.7" right="0.7" top="0.75" bottom="0.75" header="0.3" footer="0.3"/>
  <pageSetup scale="85" orientation="portrait" r:id="rId1"/>
  <headerFooter>
    <oddHeader>&amp;L&amp;G</oddHeader>
    <oddFooter>&amp;LUpdated: 2/2022</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F848B5E7-E5B9-427D-8F73-48B780774224}">
          <x14:formula1>
            <xm:f>'Data Validation'!$C$2:$C$4</xm:f>
          </x14:formula1>
          <xm:sqref>B7 B26</xm:sqref>
        </x14:dataValidation>
        <x14:dataValidation type="list" allowBlank="1" showInputMessage="1" showErrorMessage="1" xr:uid="{9283A515-08C8-405D-AAFB-1079780A01CA}">
          <x14:formula1>
            <xm:f>'Data Validation'!$A$2:$A$9</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58709-3D48-4A88-A135-AF0BABFDFDCF}">
  <dimension ref="A1:C9"/>
  <sheetViews>
    <sheetView workbookViewId="0">
      <selection activeCell="D28" sqref="D28"/>
    </sheetView>
  </sheetViews>
  <sheetFormatPr defaultRowHeight="15" x14ac:dyDescent="0.25"/>
  <cols>
    <col min="1" max="1" width="27.140625" bestFit="1" customWidth="1"/>
  </cols>
  <sheetData>
    <row r="1" spans="1:3" x14ac:dyDescent="0.25">
      <c r="A1" s="1" t="s">
        <v>11</v>
      </c>
      <c r="C1" t="s">
        <v>14</v>
      </c>
    </row>
    <row r="2" spans="1:3" x14ac:dyDescent="0.25">
      <c r="A2" s="2" t="s">
        <v>13</v>
      </c>
      <c r="C2" t="s">
        <v>3</v>
      </c>
    </row>
    <row r="3" spans="1:3" x14ac:dyDescent="0.25">
      <c r="A3" s="2" t="s">
        <v>6</v>
      </c>
      <c r="C3" t="s">
        <v>4</v>
      </c>
    </row>
    <row r="4" spans="1:3" x14ac:dyDescent="0.25">
      <c r="A4" s="2" t="s">
        <v>5</v>
      </c>
      <c r="C4" t="str">
        <f>""</f>
        <v/>
      </c>
    </row>
    <row r="5" spans="1:3" x14ac:dyDescent="0.25">
      <c r="A5" s="2" t="s">
        <v>8</v>
      </c>
    </row>
    <row r="6" spans="1:3" x14ac:dyDescent="0.25">
      <c r="A6" s="2" t="s">
        <v>1</v>
      </c>
    </row>
    <row r="7" spans="1:3" x14ac:dyDescent="0.25">
      <c r="A7" s="2" t="s">
        <v>18</v>
      </c>
    </row>
    <row r="8" spans="1:3" x14ac:dyDescent="0.25">
      <c r="A8" s="2" t="s">
        <v>19</v>
      </c>
    </row>
    <row r="9" spans="1:3" x14ac:dyDescent="0.25">
      <c r="A9" s="2" t="s">
        <v>7</v>
      </c>
    </row>
  </sheetData>
  <sortState xmlns:xlrd2="http://schemas.microsoft.com/office/spreadsheetml/2017/richdata2" ref="A2:A9">
    <sortCondition ref="A2:A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7F890-AF67-4EC2-A785-51FE2B6467AA}">
  <dimension ref="A1:D17"/>
  <sheetViews>
    <sheetView workbookViewId="0">
      <selection activeCell="B25" sqref="B25"/>
    </sheetView>
  </sheetViews>
  <sheetFormatPr defaultRowHeight="15" x14ac:dyDescent="0.25"/>
  <cols>
    <col min="1" max="1" width="33.28515625" customWidth="1"/>
    <col min="2" max="2" width="43.140625" customWidth="1"/>
  </cols>
  <sheetData>
    <row r="1" spans="1:4" x14ac:dyDescent="0.25">
      <c r="A1" s="1" t="s">
        <v>16</v>
      </c>
    </row>
    <row r="2" spans="1:4" x14ac:dyDescent="0.25">
      <c r="A2" t="s">
        <v>0</v>
      </c>
      <c r="B2" t="s">
        <v>13</v>
      </c>
    </row>
    <row r="3" spans="1:4" x14ac:dyDescent="0.25">
      <c r="A3" t="str">
        <f>IF(OR($B$2="SIV",$B$2="Afghan Humanitarian Parolee"),"Did this case reside on a safe haven?","")</f>
        <v>Did this case reside on a safe haven?</v>
      </c>
      <c r="B3" t="s">
        <v>15</v>
      </c>
    </row>
    <row r="4" spans="1:4" x14ac:dyDescent="0.25">
      <c r="A4" t="s">
        <v>12</v>
      </c>
      <c r="B4" t="str">
        <f>IF(OR($B$2="Refugee",$B$2="Amerasian"),"Date of U.S. Arrival",IF(AND($B$2="SIV",$B$3=""),"",IF(AND($B$2="SIV",$B$3="No"),"Date of U.S. Arrival",IF(AND($B$2="SIV",$B$3="Yes"),"Date of entry into the community",IF($B$2="Asylee","Date of Asylum Grant",IF($B$2="Victim of Trafficking","Date of the certification or eligibility letter",IF($B$2="Cuban/Haitian Entrant","Date of grant of parole, date of grant of C/H Entrant status or date of release from detention",IF(AND($B$2="Afghan Humanitarian Parolee",$B$3=""),"",IF(AND($B$2="Afghan Humanitarian Parolee",$B$3="Yes"),"Date of entry into the community",IF(AND($B$2="Afghan Humanitarian Parolee",$B$3="No"),"Date of U.S. Arrival","ERROR"))))))))))</f>
        <v/>
      </c>
    </row>
    <row r="6" spans="1:4" x14ac:dyDescent="0.25">
      <c r="A6" t="str">
        <f>B4</f>
        <v/>
      </c>
    </row>
    <row r="8" spans="1:4" x14ac:dyDescent="0.25">
      <c r="A8" s="1" t="s">
        <v>1</v>
      </c>
      <c r="B8" t="str">
        <f>IF($B$2="Refugee","Date of U.S. Arrival", "Error")</f>
        <v>Error</v>
      </c>
    </row>
    <row r="9" spans="1:4" x14ac:dyDescent="0.25">
      <c r="A9" s="1" t="s">
        <v>2</v>
      </c>
      <c r="B9" t="str">
        <f>IF(AND($B$2="SIV",$B$3="No"),"Date of U.S. Arrival","Date of entry into the community")</f>
        <v>Date of entry into the community</v>
      </c>
      <c r="C9" t="b">
        <f>IF(AND($B$2="SIV",$B$3="Yes"),"Date of entry into the community")</f>
        <v>0</v>
      </c>
    </row>
    <row r="10" spans="1:4" x14ac:dyDescent="0.25">
      <c r="A10" s="1" t="s">
        <v>5</v>
      </c>
      <c r="B10" t="str">
        <f>IF($B$2="Asylee","Date of Asylum Grant", "Error")</f>
        <v>Error</v>
      </c>
    </row>
    <row r="11" spans="1:4" x14ac:dyDescent="0.25">
      <c r="A11" s="1" t="s">
        <v>6</v>
      </c>
      <c r="B11" t="str">
        <f>IF($B$2="Amerasian","Date of U.S. Arrival", "Error")</f>
        <v>Error</v>
      </c>
    </row>
    <row r="12" spans="1:4" x14ac:dyDescent="0.25">
      <c r="A12" s="1" t="s">
        <v>7</v>
      </c>
      <c r="B12" t="str">
        <f>IF($B$2="Victim of Trafficking","Date of the certification or eligibility letter", "Error")</f>
        <v>Error</v>
      </c>
    </row>
    <row r="13" spans="1:4" x14ac:dyDescent="0.25">
      <c r="A13" s="1" t="s">
        <v>8</v>
      </c>
      <c r="B13" t="str">
        <f>IF($B$2="Cuban/Haitian Entrant","Date of grant of parole, date of grant of C/H Entrant status or date of release from detention", "Error")</f>
        <v>Error</v>
      </c>
    </row>
    <row r="14" spans="1:4" x14ac:dyDescent="0.25">
      <c r="A14" s="1" t="s">
        <v>9</v>
      </c>
      <c r="B14" t="str">
        <f>IF(AND($B$2="Afghan Humanitarian Parolee",$B$3="No"),"Date of U.S. Arrival","Date of entry into the community")</f>
        <v>Date of entry into the community</v>
      </c>
    </row>
    <row r="15" spans="1:4" x14ac:dyDescent="0.25">
      <c r="C15" t="b">
        <f>IF(AND($B$2="Afghan Humanitarian Parolee",$B$3="Yes"),"Date of entry into the community")</f>
        <v>0</v>
      </c>
      <c r="D15" t="b">
        <f>IF(AND($B$2="Afghan Humanitarian Parolee",$B$3="No"),"Date of U.S. Arrival")</f>
        <v>0</v>
      </c>
    </row>
    <row r="17" spans="3:3" x14ac:dyDescent="0.25">
      <c r="C17" t="str">
        <f>IF(AND($B$2="Afghan Humanitarian Parolee",$B$3=""),"")</f>
        <v/>
      </c>
    </row>
  </sheetData>
  <conditionalFormatting sqref="B3">
    <cfRule type="expression" dxfId="2" priority="2">
      <formula>$B$2="SIV"</formula>
    </cfRule>
    <cfRule type="expression" dxfId="1" priority="3">
      <formula>$B$2="Afghan Humanitarian Parolee"</formula>
    </cfRule>
  </conditionalFormatting>
  <conditionalFormatting sqref="B6">
    <cfRule type="expression" dxfId="0" priority="1">
      <formula>NOT(ISBLANK($B$2))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F273D09-A7E8-4665-A1D1-1C4D6C22CDE1}">
          <x14:formula1>
            <xm:f>'Data Validation'!$C$2:$C$4</xm:f>
          </x14:formula1>
          <xm:sqref>B3</xm:sqref>
        </x14:dataValidation>
        <x14:dataValidation type="list" allowBlank="1" showInputMessage="1" showErrorMessage="1" xr:uid="{D93838D6-AC12-4E39-A647-7DA801876F7A}">
          <x14:formula1>
            <xm:f>'Data Validation'!$A$2:$A$9</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MG Eligibility &amp; Enrollment</vt:lpstr>
      <vt:lpstr>Data Validation</vt:lpstr>
      <vt:lpstr>Formulas</vt:lpstr>
      <vt:lpstr>'MG Eligibility &amp; Enrollment'!Print_Area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Norton</dc:creator>
  <cp:lastModifiedBy>Caitlin Harrison</cp:lastModifiedBy>
  <cp:lastPrinted>2022-02-28T22:07:43Z</cp:lastPrinted>
  <dcterms:created xsi:type="dcterms:W3CDTF">2022-01-25T20:25:18Z</dcterms:created>
  <dcterms:modified xsi:type="dcterms:W3CDTF">2022-03-31T19:32:12Z</dcterms:modified>
</cp:coreProperties>
</file>